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E46" i="1" l="1"/>
  <c r="E44" i="1" l="1"/>
  <c r="E29" i="1"/>
  <c r="B35" i="1" l="1"/>
  <c r="B29" i="1" l="1"/>
  <c r="B30" i="1" s="1"/>
  <c r="B31" i="1" l="1"/>
  <c r="B32" i="1" s="1"/>
  <c r="B7" i="3"/>
  <c r="B8" i="3"/>
  <c r="B9" i="3"/>
  <c r="B10" i="3"/>
  <c r="B11" i="3"/>
  <c r="B12" i="3"/>
  <c r="B13" i="3"/>
  <c r="B14" i="3"/>
  <c r="B15" i="3"/>
  <c r="B16" i="3"/>
  <c r="B6" i="3"/>
  <c r="F11" i="1"/>
  <c r="B36" i="1" l="1"/>
  <c r="B41" i="1" s="1"/>
  <c r="B34" i="1"/>
  <c r="E40" i="1" s="1"/>
  <c r="E41" i="1"/>
  <c r="F41" i="1" s="1"/>
  <c r="B45" i="1"/>
  <c r="F40" i="1" l="1"/>
  <c r="B37" i="1"/>
  <c r="E36" i="1" s="1"/>
  <c r="F36" i="1" s="1"/>
  <c r="B33" i="1"/>
  <c r="E33" i="1" s="1"/>
  <c r="E39" i="1"/>
  <c r="F39" i="1" s="1"/>
  <c r="E38" i="1"/>
  <c r="F38" i="1" s="1"/>
  <c r="B44" i="1"/>
  <c r="B38" i="1" l="1"/>
  <c r="E37" i="1" s="1"/>
  <c r="B42" i="1"/>
  <c r="F37" i="1" l="1"/>
  <c r="E42" i="1"/>
  <c r="B43" i="1"/>
  <c r="B46" i="1" s="1"/>
  <c r="E45" i="1" s="1"/>
</calcChain>
</file>

<file path=xl/sharedStrings.xml><?xml version="1.0" encoding="utf-8"?>
<sst xmlns="http://schemas.openxmlformats.org/spreadsheetml/2006/main" count="115" uniqueCount="101">
  <si>
    <t>Daten</t>
  </si>
  <si>
    <t>Investkosten</t>
  </si>
  <si>
    <t>Solar</t>
  </si>
  <si>
    <t>Wind onshore</t>
  </si>
  <si>
    <t>Wind offshore</t>
  </si>
  <si>
    <t>Mio / MW</t>
  </si>
  <si>
    <t>Vollaststunden</t>
  </si>
  <si>
    <t>Gaskraftwerke</t>
  </si>
  <si>
    <t xml:space="preserve">Investkosten </t>
  </si>
  <si>
    <t>Eingabefelder</t>
  </si>
  <si>
    <t>Ergebnisse</t>
  </si>
  <si>
    <t>Kernkraftwerke</t>
  </si>
  <si>
    <t>H2 Erzeugung Auslastung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</si>
  <si>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</si>
  <si>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</si>
  <si>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</si>
  <si>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</si>
  <si>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</si>
  <si>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</si>
  <si>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</si>
  <si>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</si>
  <si>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</si>
  <si>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</si>
  <si>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</si>
  <si>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</si>
  <si>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</si>
  <si>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</si>
  <si>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</si>
  <si>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</si>
  <si>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</si>
  <si>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</si>
  <si>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</si>
  <si>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</si>
  <si>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</si>
  <si>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</si>
  <si>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Zubau</t>
  </si>
  <si>
    <t>H2 Anlagen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</si>
  <si>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</si>
  <si>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</si>
  <si>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</si>
  <si>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</si>
  <si>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</si>
  <si>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</si>
  <si>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</si>
  <si>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ohne Kosten für Netzausbau, Netzstabilisierung, H2 Speicher und  Umstellung auf E- / H2 Verbraucher</t>
  </si>
  <si>
    <t>Summe Kosten CO2 freie Energieerzeugung</t>
  </si>
  <si>
    <t>EE Anlagen 2022 TWh</t>
  </si>
  <si>
    <t>Solar- und Windkraftanlagen 2022  TWh</t>
  </si>
  <si>
    <t xml:space="preserve">Erforderliche GT Leistung MW </t>
  </si>
  <si>
    <t>Stromerzeugung 2022 TWh</t>
  </si>
  <si>
    <t>max. Stromleistung 2022  MW</t>
  </si>
  <si>
    <t>Gaskraftwerk</t>
  </si>
  <si>
    <t>Investkosten pro Jahr</t>
  </si>
  <si>
    <t>Wirkungsgrade</t>
  </si>
  <si>
    <t>%</t>
  </si>
  <si>
    <t>H2 Erzeugung</t>
  </si>
  <si>
    <t>H2 Transport, Speicherung</t>
  </si>
  <si>
    <t>H2 Nettoergie  TWh</t>
  </si>
  <si>
    <t>Insta. Grundlast Wasser Biogas 2022 MW el</t>
  </si>
  <si>
    <t>Max Stromimport  MW el.</t>
  </si>
  <si>
    <t>Gaskraftwerk el</t>
  </si>
  <si>
    <t>Stand CO2 Einsparziel 2022</t>
  </si>
  <si>
    <t>Energiewende abgeschlossen  Jahr</t>
  </si>
  <si>
    <t>Bezugsjahr</t>
  </si>
  <si>
    <t>Endenergieverbrauch TWh th 2045</t>
  </si>
  <si>
    <t>Energiewende Umsetzungszeit Jahre</t>
  </si>
  <si>
    <t>Kernkraftanlage</t>
  </si>
  <si>
    <t>Anz. Anl.</t>
  </si>
  <si>
    <t>H2 Brutto Energie m. H2 Verl. Erz/Trans/Rückv. TWh</t>
  </si>
  <si>
    <t xml:space="preserve">zusätzl. EE Stromerzeugung bis (B7)  netto TWh </t>
  </si>
  <si>
    <t>CO2  Einsparziel bis (B7) auf Endenergie</t>
  </si>
  <si>
    <t>zusätzl. EE-Stromerzeugung bis (B7) brutto TWh</t>
  </si>
  <si>
    <t>Stromerzeugung in (B7) TWh</t>
  </si>
  <si>
    <t>Summe EE Anlagen</t>
  </si>
  <si>
    <t>Mio €</t>
  </si>
  <si>
    <t>Dach-
anl.</t>
  </si>
  <si>
    <t>Ausbau-
anteill</t>
  </si>
  <si>
    <t>Auslastung Gaskraftwerke h/a</t>
  </si>
  <si>
    <t>h / a</t>
  </si>
  <si>
    <t>Einsparung durch Wärmepumpen auf Endenergie</t>
  </si>
  <si>
    <t>Industriebedarf H2  Mio to/a</t>
  </si>
  <si>
    <t>Industriebedarf H2  TWh/a</t>
  </si>
  <si>
    <t>Transportbereich H2  TWh/a</t>
  </si>
  <si>
    <t>H2 Speicher Dunkelflate  TWh</t>
  </si>
  <si>
    <t>H2 Gaskraftwerke</t>
  </si>
  <si>
    <t>Insta. Erdgaskraftwerke  2022   MW el</t>
  </si>
  <si>
    <t>Notw.  H2 GKW für 14 Tage DF</t>
  </si>
  <si>
    <t>Investkosten der Energiewende entsprechend den Daten des neuen EEG 2023</t>
  </si>
  <si>
    <t>Sonstiges</t>
  </si>
  <si>
    <t>Daten EEG 2023</t>
  </si>
  <si>
    <t>ohne Kosten für Ersatz von Altanlagen</t>
  </si>
  <si>
    <t>EEG 2023  Daten</t>
  </si>
  <si>
    <t>Endenergie Jahr 2045 1.997 TWh/Jahr</t>
  </si>
  <si>
    <t>EE 2021, 225 TWh,  139 GW</t>
  </si>
  <si>
    <t>EE 2030, 600 TWh, 375 GW</t>
  </si>
  <si>
    <t>Aufteilung der Leistung von 635 GW</t>
  </si>
  <si>
    <t>Wind on 160 GW, Wind off 70 GW</t>
  </si>
  <si>
    <t>Solar 400 GW, Biom  2 GW, Wasser 5,3 GW</t>
  </si>
  <si>
    <t>EE 2045 Eigenerzeugung 1.079 TWh/Jahr, 635 GW</t>
  </si>
  <si>
    <t>EE 2045 Import  917 TWh Netto/Jahr, 1412 TWh Brutto/Jahr</t>
  </si>
  <si>
    <t>Solar Mix Deutschl/Import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</si>
</sst>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/>
    <xf numFmtId="0" fontId="2" fillId="0" borderId="0" xfId="0" applyFont="1"/>
    <xf numFmtId="9" fontId="4" fillId="2" borderId="14" xfId="0" applyNumberFormat="1" applyFont="1" applyFill="1" applyBorder="1"/>
    <xf numFmtId="9" fontId="4" fillId="2" borderId="13" xfId="0" applyNumberFormat="1" applyFont="1" applyFill="1" applyBorder="1"/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/>
    </xf>
    <xf numFmtId="9" fontId="6" fillId="2" borderId="13" xfId="0" applyNumberFormat="1" applyFont="1" applyFill="1" applyBorder="1"/>
    <xf numFmtId="3" fontId="1" fillId="0" borderId="12" xfId="0" applyNumberFormat="1" applyFont="1" applyBorder="1"/>
    <xf numFmtId="0" fontId="1" fillId="0" borderId="4" xfId="0" applyFont="1" applyFill="1" applyBorder="1"/>
    <xf numFmtId="3" fontId="1" fillId="0" borderId="14" xfId="0" applyNumberFormat="1" applyFont="1" applyBorder="1"/>
    <xf numFmtId="0" fontId="1" fillId="5" borderId="14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/>
    </xf>
    <xf numFmtId="0" fontId="0" fillId="0" borderId="12" xfId="0" applyFont="1" applyFill="1" applyBorder="1"/>
    <xf numFmtId="0" fontId="0" fillId="2" borderId="12" xfId="0" applyFont="1" applyFill="1" applyBorder="1"/>
    <xf numFmtId="9" fontId="0" fillId="2" borderId="5" xfId="0" applyNumberFormat="1" applyFont="1" applyFill="1" applyBorder="1"/>
    <xf numFmtId="0" fontId="0" fillId="0" borderId="14" xfId="0" applyFont="1" applyFill="1" applyBorder="1"/>
    <xf numFmtId="0" fontId="0" fillId="2" borderId="14" xfId="0" applyFont="1" applyFill="1" applyBorder="1"/>
    <xf numFmtId="0" fontId="0" fillId="0" borderId="5" xfId="0" applyFont="1" applyBorder="1"/>
    <xf numFmtId="0" fontId="0" fillId="0" borderId="4" xfId="0" applyFont="1" applyBorder="1"/>
    <xf numFmtId="165" fontId="0" fillId="5" borderId="14" xfId="0" applyNumberFormat="1" applyFont="1" applyFill="1" applyBorder="1"/>
    <xf numFmtId="0" fontId="0" fillId="0" borderId="14" xfId="0" applyFont="1" applyBorder="1"/>
    <xf numFmtId="0" fontId="0" fillId="0" borderId="13" xfId="0" applyFont="1" applyBorder="1"/>
    <xf numFmtId="0" fontId="0" fillId="2" borderId="13" xfId="0" applyFont="1" applyFill="1" applyBorder="1"/>
    <xf numFmtId="0" fontId="0" fillId="0" borderId="7" xfId="0" applyFont="1" applyBorder="1"/>
    <xf numFmtId="3" fontId="0" fillId="5" borderId="14" xfId="0" applyNumberFormat="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Border="1"/>
    <xf numFmtId="0" fontId="0" fillId="4" borderId="0" xfId="0" applyFont="1" applyFill="1" applyBorder="1"/>
    <xf numFmtId="9" fontId="0" fillId="0" borderId="0" xfId="0" applyNumberFormat="1" applyFont="1"/>
    <xf numFmtId="0" fontId="0" fillId="0" borderId="0" xfId="0" applyFont="1" applyFill="1"/>
    <xf numFmtId="0" fontId="0" fillId="0" borderId="10" xfId="0" applyFont="1" applyFill="1" applyBorder="1"/>
    <xf numFmtId="0" fontId="0" fillId="4" borderId="1" xfId="0" applyFont="1" applyFill="1" applyBorder="1" applyAlignment="1">
      <alignment horizontal="center" vertical="center"/>
    </xf>
    <xf numFmtId="9" fontId="0" fillId="2" borderId="12" xfId="0" applyNumberFormat="1" applyFont="1" applyFill="1" applyBorder="1"/>
    <xf numFmtId="9" fontId="0" fillId="2" borderId="14" xfId="0" applyNumberFormat="1" applyFont="1" applyFill="1" applyBorder="1"/>
    <xf numFmtId="0" fontId="0" fillId="5" borderId="14" xfId="0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3" fontId="0" fillId="5" borderId="13" xfId="0" applyNumberFormat="1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Border="1"/>
    <xf numFmtId="164" fontId="0" fillId="3" borderId="12" xfId="0" applyNumberFormat="1" applyFont="1" applyFill="1" applyBorder="1"/>
    <xf numFmtId="3" fontId="0" fillId="3" borderId="14" xfId="0" applyNumberFormat="1" applyFont="1" applyFill="1" applyBorder="1"/>
    <xf numFmtId="0" fontId="0" fillId="3" borderId="14" xfId="0" applyFont="1" applyFill="1" applyBorder="1"/>
    <xf numFmtId="0" fontId="0" fillId="0" borderId="6" xfId="0" applyFont="1" applyBorder="1"/>
    <xf numFmtId="3" fontId="0" fillId="3" borderId="13" xfId="0" applyNumberFormat="1" applyFont="1" applyFill="1" applyBorder="1"/>
    <xf numFmtId="0" fontId="0" fillId="0" borderId="2" xfId="0" applyFont="1" applyFill="1" applyBorder="1"/>
    <xf numFmtId="0" fontId="0" fillId="3" borderId="12" xfId="0" applyFont="1" applyFill="1" applyBorder="1"/>
    <xf numFmtId="9" fontId="0" fillId="0" borderId="14" xfId="0" applyNumberFormat="1" applyFont="1" applyBorder="1"/>
    <xf numFmtId="0" fontId="0" fillId="0" borderId="4" xfId="0" applyFont="1" applyFill="1" applyBorder="1"/>
    <xf numFmtId="3" fontId="0" fillId="0" borderId="14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0" fontId="0" fillId="0" borderId="11" xfId="0" applyFont="1" applyBorder="1" applyAlignment="1">
      <alignment horizontal="center"/>
    </xf>
    <xf numFmtId="3" fontId="0" fillId="0" borderId="5" xfId="0" applyNumberFormat="1" applyFont="1" applyBorder="1"/>
    <xf numFmtId="0" fontId="0" fillId="0" borderId="1" xfId="0" applyFont="1" applyFill="1" applyBorder="1"/>
    <xf numFmtId="3" fontId="0" fillId="0" borderId="11" xfId="0" applyNumberFormat="1" applyFont="1" applyBorder="1"/>
    <xf numFmtId="3" fontId="1" fillId="0" borderId="11" xfId="0" applyNumberFormat="1" applyFont="1" applyBorder="1" applyAlignment="1">
      <alignment vertical="center"/>
    </xf>
    <xf numFmtId="0" fontId="0" fillId="0" borderId="0" xfId="0" applyFont="1" applyFill="1" applyBorder="1"/>
    <xf numFmtId="0" fontId="0" fillId="6" borderId="14" xfId="0" applyFont="1" applyFill="1" applyBorder="1"/>
    <xf numFmtId="0" fontId="0" fillId="3" borderId="13" xfId="0" applyFont="1" applyFill="1" applyBorder="1"/>
    <xf numFmtId="1" fontId="0" fillId="0" borderId="0" xfId="0" applyNumberFormat="1" applyFont="1"/>
    <xf numFmtId="0" fontId="4" fillId="5" borderId="12" xfId="0" applyFont="1" applyFill="1" applyBorder="1" applyAlignment="1">
      <alignment horizontal="right" vertical="center"/>
    </xf>
    <xf numFmtId="165" fontId="2" fillId="5" borderId="14" xfId="0" applyNumberFormat="1" applyFont="1" applyFill="1" applyBorder="1"/>
    <xf numFmtId="0" fontId="4" fillId="5" borderId="14" xfId="0" applyFont="1" applyFill="1" applyBorder="1" applyAlignment="1">
      <alignment horizontal="right" vertical="center"/>
    </xf>
    <xf numFmtId="3" fontId="2" fillId="5" borderId="14" xfId="0" applyNumberFormat="1" applyFont="1" applyFill="1" applyBorder="1"/>
    <xf numFmtId="0" fontId="7" fillId="0" borderId="4" xfId="0" applyFont="1" applyFill="1" applyBorder="1"/>
    <xf numFmtId="3" fontId="7" fillId="0" borderId="14" xfId="0" applyNumberFormat="1" applyFont="1" applyBorder="1"/>
    <xf numFmtId="3" fontId="1" fillId="0" borderId="0" xfId="0" applyNumberFormat="1" applyFont="1"/>
    <xf numFmtId="0" fontId="0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054528"/>
        <c:axId val="353054920"/>
      </c:barChart>
      <c:catAx>
        <c:axId val="353054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3054920"/>
        <c:crosses val="autoZero"/>
        <c:auto val="1"/>
        <c:lblAlgn val="ctr"/>
        <c:lblOffset val="100"/>
        <c:tickLblSkip val="1"/>
        <c:noMultiLvlLbl val="0"/>
      </c:catAx>
      <c:valAx>
        <c:axId val="35305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305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4" zoomScale="80" zoomScaleNormal="80" workbookViewId="0">
      <selection activeCell="I19" sqref="I19"/>
    </sheetView>
  </sheetViews>
  <sheetFormatPr baseColWidth="10" defaultRowHeight="14.4" x14ac:dyDescent="0.3"/>
  <cols>
    <col min="1" max="1" width="43.33203125" style="29" customWidth="1"/>
    <col min="2" max="2" width="13" style="29" customWidth="1"/>
    <col min="3" max="3" width="5.6640625" style="29" customWidth="1"/>
    <col min="4" max="4" width="29.44140625" style="29" customWidth="1"/>
    <col min="5" max="5" width="8.6640625" style="29" customWidth="1"/>
    <col min="6" max="6" width="12.21875" style="29" customWidth="1"/>
    <col min="7" max="7" width="5.6640625" style="29" customWidth="1"/>
    <col min="8" max="16384" width="11.5546875" style="29"/>
  </cols>
  <sheetData>
    <row r="1" spans="1:7" x14ac:dyDescent="0.3">
      <c r="A1" s="2" t="s">
        <v>87</v>
      </c>
      <c r="F1" s="108" t="s">
        <v>89</v>
      </c>
      <c r="G1" s="108"/>
    </row>
    <row r="2" spans="1:7" ht="13.2" customHeight="1" x14ac:dyDescent="0.3">
      <c r="A2" s="29" t="s">
        <v>44</v>
      </c>
      <c r="F2" s="107" t="s">
        <v>9</v>
      </c>
      <c r="G2" s="107"/>
    </row>
    <row r="3" spans="1:7" hidden="1" x14ac:dyDescent="0.3">
      <c r="F3" s="29" t="s">
        <v>9</v>
      </c>
    </row>
    <row r="4" spans="1:7" x14ac:dyDescent="0.3">
      <c r="A4" s="29" t="s">
        <v>90</v>
      </c>
    </row>
    <row r="5" spans="1:7" ht="15" thickBot="1" x14ac:dyDescent="0.35">
      <c r="A5" s="2" t="s">
        <v>0</v>
      </c>
    </row>
    <row r="6" spans="1:7" ht="29.4" thickBot="1" x14ac:dyDescent="0.35">
      <c r="A6" s="40" t="s">
        <v>64</v>
      </c>
      <c r="B6" s="100">
        <v>1997</v>
      </c>
      <c r="D6" s="41" t="s">
        <v>6</v>
      </c>
      <c r="E6" s="42" t="s">
        <v>78</v>
      </c>
      <c r="F6" s="43" t="s">
        <v>76</v>
      </c>
      <c r="G6" s="44" t="s">
        <v>75</v>
      </c>
    </row>
    <row r="7" spans="1:7" x14ac:dyDescent="0.3">
      <c r="A7" s="45" t="s">
        <v>63</v>
      </c>
      <c r="B7" s="39">
        <v>2022</v>
      </c>
      <c r="D7" s="46" t="s">
        <v>100</v>
      </c>
      <c r="E7" s="47">
        <v>1400</v>
      </c>
      <c r="F7" s="31">
        <v>0.63</v>
      </c>
      <c r="G7" s="48">
        <v>0.1</v>
      </c>
    </row>
    <row r="8" spans="1:7" x14ac:dyDescent="0.3">
      <c r="A8" s="45" t="s">
        <v>62</v>
      </c>
      <c r="B8" s="102">
        <v>2045</v>
      </c>
      <c r="D8" s="49" t="s">
        <v>3</v>
      </c>
      <c r="E8" s="50">
        <v>1800</v>
      </c>
      <c r="F8" s="31">
        <v>0.25</v>
      </c>
      <c r="G8" s="51"/>
    </row>
    <row r="9" spans="1:7" x14ac:dyDescent="0.3">
      <c r="A9" s="52" t="s">
        <v>70</v>
      </c>
      <c r="B9" s="101">
        <v>0.9</v>
      </c>
      <c r="D9" s="54" t="s">
        <v>4</v>
      </c>
      <c r="E9" s="50">
        <v>3500</v>
      </c>
      <c r="F9" s="31">
        <v>0.11</v>
      </c>
      <c r="G9" s="51"/>
    </row>
    <row r="10" spans="1:7" ht="15" thickBot="1" x14ac:dyDescent="0.35">
      <c r="A10" s="52" t="s">
        <v>61</v>
      </c>
      <c r="B10" s="53">
        <v>0.27</v>
      </c>
      <c r="D10" s="55" t="s">
        <v>88</v>
      </c>
      <c r="E10" s="56">
        <v>8000</v>
      </c>
      <c r="F10" s="32">
        <v>0.01</v>
      </c>
      <c r="G10" s="57"/>
    </row>
    <row r="11" spans="1:7" ht="14.4" customHeight="1" thickBot="1" x14ac:dyDescent="0.35">
      <c r="A11" s="52" t="s">
        <v>85</v>
      </c>
      <c r="B11" s="58">
        <v>29000</v>
      </c>
      <c r="C11" s="59"/>
      <c r="D11" s="60"/>
      <c r="E11" s="61"/>
      <c r="F11" s="62">
        <f>SUM(F7:F10)</f>
        <v>1</v>
      </c>
    </row>
    <row r="12" spans="1:7" ht="15" thickBot="1" x14ac:dyDescent="0.35">
      <c r="A12" s="52" t="s">
        <v>58</v>
      </c>
      <c r="B12" s="58">
        <v>16000</v>
      </c>
      <c r="C12" s="63"/>
      <c r="D12" s="64" t="s">
        <v>53</v>
      </c>
      <c r="E12" s="65" t="s">
        <v>54</v>
      </c>
      <c r="F12" s="62"/>
    </row>
    <row r="13" spans="1:7" x14ac:dyDescent="0.3">
      <c r="A13" s="52" t="s">
        <v>59</v>
      </c>
      <c r="B13" s="103">
        <v>0</v>
      </c>
      <c r="C13" s="63"/>
      <c r="D13" s="46" t="s">
        <v>60</v>
      </c>
      <c r="E13" s="66">
        <v>0.42</v>
      </c>
    </row>
    <row r="14" spans="1:7" x14ac:dyDescent="0.3">
      <c r="A14" s="52" t="s">
        <v>79</v>
      </c>
      <c r="B14" s="101">
        <v>0</v>
      </c>
      <c r="D14" s="54" t="s">
        <v>55</v>
      </c>
      <c r="E14" s="67">
        <v>0.7</v>
      </c>
    </row>
    <row r="15" spans="1:7" x14ac:dyDescent="0.3">
      <c r="A15" s="52" t="s">
        <v>46</v>
      </c>
      <c r="B15" s="68">
        <v>248</v>
      </c>
      <c r="D15" s="54" t="s">
        <v>56</v>
      </c>
      <c r="E15" s="67">
        <v>0.8</v>
      </c>
    </row>
    <row r="16" spans="1:7" x14ac:dyDescent="0.3">
      <c r="A16" s="52" t="s">
        <v>47</v>
      </c>
      <c r="B16" s="68">
        <v>186</v>
      </c>
      <c r="D16" s="54" t="s">
        <v>12</v>
      </c>
      <c r="E16" s="67">
        <v>0.5</v>
      </c>
    </row>
    <row r="17" spans="1:9" ht="15" thickBot="1" x14ac:dyDescent="0.35">
      <c r="A17" s="52" t="s">
        <v>49</v>
      </c>
      <c r="B17" s="68">
        <v>585</v>
      </c>
      <c r="D17" s="69" t="s">
        <v>43</v>
      </c>
      <c r="E17" s="35">
        <v>0.8</v>
      </c>
    </row>
    <row r="18" spans="1:9" ht="15" thickBot="1" x14ac:dyDescent="0.35">
      <c r="A18" s="70" t="s">
        <v>50</v>
      </c>
      <c r="B18" s="71">
        <v>85000</v>
      </c>
    </row>
    <row r="19" spans="1:9" ht="15" thickBot="1" x14ac:dyDescent="0.35">
      <c r="D19" s="46" t="s">
        <v>37</v>
      </c>
      <c r="E19" s="72" t="s">
        <v>29</v>
      </c>
    </row>
    <row r="20" spans="1:9" ht="15" thickBot="1" x14ac:dyDescent="0.35">
      <c r="A20" s="73" t="s">
        <v>1</v>
      </c>
      <c r="B20" s="74" t="s">
        <v>5</v>
      </c>
      <c r="D20" s="75" t="s">
        <v>3</v>
      </c>
      <c r="E20" s="76">
        <v>4.2</v>
      </c>
    </row>
    <row r="21" spans="1:9" x14ac:dyDescent="0.3">
      <c r="A21" s="52" t="s">
        <v>2</v>
      </c>
      <c r="B21" s="50">
        <v>1.5</v>
      </c>
      <c r="D21" s="54" t="s">
        <v>38</v>
      </c>
      <c r="E21" s="77">
        <v>6</v>
      </c>
    </row>
    <row r="22" spans="1:9" x14ac:dyDescent="0.3">
      <c r="A22" s="52" t="s">
        <v>3</v>
      </c>
      <c r="B22" s="50">
        <v>1.5</v>
      </c>
      <c r="D22" s="54" t="s">
        <v>40</v>
      </c>
      <c r="E22" s="77">
        <v>10</v>
      </c>
    </row>
    <row r="23" spans="1:9" x14ac:dyDescent="0.3">
      <c r="A23" s="52" t="s">
        <v>4</v>
      </c>
      <c r="B23" s="50">
        <v>4</v>
      </c>
      <c r="D23" s="54" t="s">
        <v>39</v>
      </c>
      <c r="E23" s="78">
        <v>0.01</v>
      </c>
    </row>
    <row r="24" spans="1:9" x14ac:dyDescent="0.3">
      <c r="A24" s="52" t="s">
        <v>34</v>
      </c>
      <c r="B24" s="50">
        <v>1</v>
      </c>
      <c r="D24" s="54" t="s">
        <v>51</v>
      </c>
      <c r="E24" s="78">
        <v>300</v>
      </c>
    </row>
    <row r="25" spans="1:9" x14ac:dyDescent="0.3">
      <c r="A25" s="52" t="s">
        <v>7</v>
      </c>
      <c r="B25" s="50">
        <v>0.5</v>
      </c>
      <c r="D25" s="54" t="s">
        <v>41</v>
      </c>
      <c r="E25" s="78">
        <v>17</v>
      </c>
    </row>
    <row r="26" spans="1:9" ht="15" thickBot="1" x14ac:dyDescent="0.35">
      <c r="A26" s="79" t="s">
        <v>11</v>
      </c>
      <c r="B26" s="56">
        <v>4</v>
      </c>
      <c r="D26" s="69" t="s">
        <v>66</v>
      </c>
      <c r="E26" s="80">
        <v>1800</v>
      </c>
    </row>
    <row r="27" spans="1:9" ht="15" thickBot="1" x14ac:dyDescent="0.35">
      <c r="A27" s="2" t="s">
        <v>10</v>
      </c>
      <c r="I27" s="30"/>
    </row>
    <row r="28" spans="1:9" x14ac:dyDescent="0.3">
      <c r="A28" s="81" t="s">
        <v>69</v>
      </c>
      <c r="B28" s="36">
        <f>(B6*(100%-B14)*(B9-B10)-B15)-B13/1000</f>
        <v>1010.1099999999999</v>
      </c>
      <c r="D28" s="75" t="s">
        <v>80</v>
      </c>
      <c r="E28" s="82">
        <v>9</v>
      </c>
    </row>
    <row r="29" spans="1:9" x14ac:dyDescent="0.3">
      <c r="A29" s="52" t="s">
        <v>42</v>
      </c>
      <c r="B29" s="83">
        <f>100%-E17</f>
        <v>0.19999999999999996</v>
      </c>
      <c r="D29" s="54" t="s">
        <v>81</v>
      </c>
      <c r="E29" s="54">
        <f>E28*33</f>
        <v>297</v>
      </c>
    </row>
    <row r="30" spans="1:9" x14ac:dyDescent="0.3">
      <c r="A30" s="84" t="s">
        <v>57</v>
      </c>
      <c r="B30" s="85">
        <f>(B28+B17)*B29+E29+E30</f>
        <v>866.02199999999993</v>
      </c>
      <c r="D30" s="49" t="s">
        <v>82</v>
      </c>
      <c r="E30" s="97">
        <v>250</v>
      </c>
    </row>
    <row r="31" spans="1:9" ht="15" thickBot="1" x14ac:dyDescent="0.35">
      <c r="A31" s="52" t="s">
        <v>68</v>
      </c>
      <c r="B31" s="85">
        <f>B30/E14/E15/E13</f>
        <v>3682.0663265306121</v>
      </c>
      <c r="D31" s="69" t="s">
        <v>83</v>
      </c>
      <c r="E31" s="98">
        <v>74</v>
      </c>
    </row>
    <row r="32" spans="1:9" ht="15" thickBot="1" x14ac:dyDescent="0.35">
      <c r="A32" s="37" t="s">
        <v>71</v>
      </c>
      <c r="B32" s="38">
        <f>B28+B31-E29-E30</f>
        <v>4145.1763265306117</v>
      </c>
    </row>
    <row r="33" spans="1:6" ht="15" thickBot="1" x14ac:dyDescent="0.35">
      <c r="A33" s="104" t="s">
        <v>72</v>
      </c>
      <c r="B33" s="105">
        <f>B32+B15</f>
        <v>4393.1763265306117</v>
      </c>
      <c r="D33" s="86" t="s">
        <v>77</v>
      </c>
      <c r="E33" s="87">
        <f>B33*(100%-E17)/B35*1000000</f>
        <v>4704.4177931141039</v>
      </c>
    </row>
    <row r="34" spans="1:6" ht="15" thickBot="1" x14ac:dyDescent="0.35">
      <c r="A34" s="52" t="s">
        <v>28</v>
      </c>
      <c r="B34" s="85">
        <f>B31/8000/E16*1000000</f>
        <v>920516.58163265302</v>
      </c>
    </row>
    <row r="35" spans="1:6" ht="15" thickBot="1" x14ac:dyDescent="0.35">
      <c r="A35" s="84" t="s">
        <v>48</v>
      </c>
      <c r="B35" s="85">
        <f>(B18*(B28+B17)/B17)-B11-B12-B13</f>
        <v>186768.11965811966</v>
      </c>
      <c r="D35" s="88" t="s">
        <v>35</v>
      </c>
      <c r="E35" s="88" t="s">
        <v>29</v>
      </c>
      <c r="F35" s="88" t="s">
        <v>67</v>
      </c>
    </row>
    <row r="36" spans="1:6" x14ac:dyDescent="0.3">
      <c r="A36" s="52" t="s">
        <v>25</v>
      </c>
      <c r="B36" s="85">
        <f>(B32*F7/E7)*1000000</f>
        <v>1865329.3469387752</v>
      </c>
      <c r="D36" s="54" t="s">
        <v>3</v>
      </c>
      <c r="E36" s="89">
        <f>B37</f>
        <v>575718.93424036272</v>
      </c>
      <c r="F36" s="89">
        <f>E36/E20</f>
        <v>137075.93672389589</v>
      </c>
    </row>
    <row r="37" spans="1:6" x14ac:dyDescent="0.3">
      <c r="A37" s="52" t="s">
        <v>26</v>
      </c>
      <c r="B37" s="85">
        <f>(B32*F8/E8)*1000000</f>
        <v>575718.93424036272</v>
      </c>
      <c r="D37" s="54" t="s">
        <v>4</v>
      </c>
      <c r="E37" s="85">
        <f>B38</f>
        <v>138071.25597667636</v>
      </c>
      <c r="F37" s="85">
        <f>E37/E21</f>
        <v>23011.875996112725</v>
      </c>
    </row>
    <row r="38" spans="1:6" ht="15" thickBot="1" x14ac:dyDescent="0.35">
      <c r="A38" s="79" t="s">
        <v>27</v>
      </c>
      <c r="B38" s="90">
        <f>(B33*F9/E9)*1000000</f>
        <v>138071.25597667636</v>
      </c>
      <c r="D38" s="54" t="s">
        <v>30</v>
      </c>
      <c r="E38" s="85">
        <f>B36*(100%-G7)</f>
        <v>1678796.4122448976</v>
      </c>
      <c r="F38" s="85">
        <f>E38/E22</f>
        <v>167879.64122448975</v>
      </c>
    </row>
    <row r="39" spans="1:6" ht="15" thickBot="1" x14ac:dyDescent="0.35">
      <c r="D39" s="54" t="s">
        <v>31</v>
      </c>
      <c r="E39" s="85">
        <f>B36*G7</f>
        <v>186532.93469387753</v>
      </c>
      <c r="F39" s="85">
        <f>E39/E23</f>
        <v>18653293.469387751</v>
      </c>
    </row>
    <row r="40" spans="1:6" ht="15" thickBot="1" x14ac:dyDescent="0.35">
      <c r="A40" s="88" t="s">
        <v>8</v>
      </c>
      <c r="B40" s="91" t="s">
        <v>74</v>
      </c>
      <c r="D40" s="54" t="s">
        <v>36</v>
      </c>
      <c r="E40" s="85">
        <f>B34</f>
        <v>920516.58163265302</v>
      </c>
      <c r="F40" s="85">
        <f>E40/E25</f>
        <v>54148.034213685474</v>
      </c>
    </row>
    <row r="41" spans="1:6" ht="15" thickBot="1" x14ac:dyDescent="0.35">
      <c r="A41" s="54" t="s">
        <v>2</v>
      </c>
      <c r="B41" s="92">
        <f>B36*B21</f>
        <v>2797994.0204081628</v>
      </c>
      <c r="D41" s="54" t="s">
        <v>84</v>
      </c>
      <c r="E41" s="85">
        <f>B35</f>
        <v>186768.11965811966</v>
      </c>
      <c r="F41" s="90">
        <f>E41/E24</f>
        <v>622.56039886039889</v>
      </c>
    </row>
    <row r="42" spans="1:6" ht="15" thickBot="1" x14ac:dyDescent="0.35">
      <c r="A42" s="54" t="s">
        <v>3</v>
      </c>
      <c r="B42" s="92">
        <f>B37*B22</f>
        <v>863578.40136054414</v>
      </c>
      <c r="D42" s="93" t="s">
        <v>73</v>
      </c>
      <c r="E42" s="94">
        <f>SUM(E36:E40)</f>
        <v>3499636.1187884677</v>
      </c>
    </row>
    <row r="43" spans="1:6" x14ac:dyDescent="0.3">
      <c r="A43" s="54" t="s">
        <v>4</v>
      </c>
      <c r="B43" s="92">
        <f>B38*B23</f>
        <v>552285.02390670544</v>
      </c>
    </row>
    <row r="44" spans="1:6" x14ac:dyDescent="0.3">
      <c r="A44" s="54" t="s">
        <v>34</v>
      </c>
      <c r="B44" s="92">
        <f>B34*B24</f>
        <v>920516.58163265302</v>
      </c>
      <c r="D44" s="29" t="s">
        <v>65</v>
      </c>
      <c r="E44" s="29">
        <f>B8-B7</f>
        <v>23</v>
      </c>
    </row>
    <row r="45" spans="1:6" ht="15" thickBot="1" x14ac:dyDescent="0.35">
      <c r="A45" s="54" t="s">
        <v>7</v>
      </c>
      <c r="B45" s="92">
        <f>B35*B25</f>
        <v>93384.059829059828</v>
      </c>
      <c r="D45" s="29" t="s">
        <v>52</v>
      </c>
      <c r="E45" s="106">
        <f>B46/E44</f>
        <v>227293.82987552718</v>
      </c>
    </row>
    <row r="46" spans="1:6" ht="15" thickBot="1" x14ac:dyDescent="0.35">
      <c r="A46" s="28" t="s">
        <v>45</v>
      </c>
      <c r="B46" s="95">
        <f>SUM(B41:B45)</f>
        <v>5227758.0871371254</v>
      </c>
      <c r="D46" s="96" t="s">
        <v>86</v>
      </c>
      <c r="E46" s="99">
        <f>E31/14/24/E24*1000000</f>
        <v>734.1269841269841</v>
      </c>
    </row>
    <row r="48" spans="1:6" x14ac:dyDescent="0.3">
      <c r="A48" s="96" t="s">
        <v>91</v>
      </c>
    </row>
    <row r="49" spans="1:1" x14ac:dyDescent="0.3">
      <c r="A49" s="96" t="s">
        <v>92</v>
      </c>
    </row>
    <row r="50" spans="1:1" x14ac:dyDescent="0.3">
      <c r="A50" s="96" t="s">
        <v>93</v>
      </c>
    </row>
    <row r="51" spans="1:1" x14ac:dyDescent="0.3">
      <c r="A51" s="96" t="s">
        <v>94</v>
      </c>
    </row>
    <row r="52" spans="1:1" x14ac:dyDescent="0.3">
      <c r="A52" s="96" t="s">
        <v>98</v>
      </c>
    </row>
    <row r="53" spans="1:1" x14ac:dyDescent="0.3">
      <c r="A53" s="96" t="s">
        <v>99</v>
      </c>
    </row>
    <row r="55" spans="1:1" x14ac:dyDescent="0.3">
      <c r="A55" s="29" t="s">
        <v>95</v>
      </c>
    </row>
    <row r="56" spans="1:1" x14ac:dyDescent="0.3">
      <c r="A56" s="29" t="s">
        <v>96</v>
      </c>
    </row>
    <row r="57" spans="1:1" x14ac:dyDescent="0.3">
      <c r="A57" s="29" t="s">
        <v>97</v>
      </c>
    </row>
  </sheetData>
  <mergeCells count="2">
    <mergeCell ref="F2:G2"/>
    <mergeCell ref="F1:G1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33" t="s">
        <v>33</v>
      </c>
      <c r="F1" s="5"/>
      <c r="H1" s="34" t="s">
        <v>24</v>
      </c>
      <c r="I1" s="1">
        <v>18</v>
      </c>
    </row>
    <row r="2" spans="1:10" x14ac:dyDescent="0.3">
      <c r="A2" s="29" t="s">
        <v>32</v>
      </c>
      <c r="F2" s="5"/>
      <c r="H2" s="7"/>
      <c r="I2" s="4"/>
    </row>
    <row r="3" spans="1:10" ht="15" thickBot="1" x14ac:dyDescent="0.35"/>
    <row r="4" spans="1:10" x14ac:dyDescent="0.3">
      <c r="A4" s="109" t="s">
        <v>23</v>
      </c>
      <c r="B4" s="110"/>
      <c r="C4" s="112" t="s">
        <v>22</v>
      </c>
      <c r="D4" s="113"/>
      <c r="E4" s="109" t="s">
        <v>20</v>
      </c>
      <c r="F4" s="111"/>
      <c r="G4" s="111"/>
      <c r="H4" s="110"/>
      <c r="I4" s="24" t="s">
        <v>19</v>
      </c>
      <c r="J4" s="3"/>
    </row>
    <row r="5" spans="1:10" ht="14.4" customHeight="1" thickBot="1" x14ac:dyDescent="0.35">
      <c r="A5" s="11" t="s">
        <v>17</v>
      </c>
      <c r="B5" s="12" t="s">
        <v>18</v>
      </c>
      <c r="C5" s="13" t="s">
        <v>14</v>
      </c>
      <c r="D5" s="12" t="s">
        <v>13</v>
      </c>
      <c r="E5" s="11" t="s">
        <v>14</v>
      </c>
      <c r="F5" s="14" t="s">
        <v>2</v>
      </c>
      <c r="G5" s="14" t="s">
        <v>15</v>
      </c>
      <c r="H5" s="12" t="s">
        <v>16</v>
      </c>
      <c r="I5" s="12" t="s">
        <v>21</v>
      </c>
    </row>
    <row r="6" spans="1:10" x14ac:dyDescent="0.3">
      <c r="A6" s="15">
        <v>5106</v>
      </c>
      <c r="B6" s="20">
        <f>A6/$I$1</f>
        <v>283.66666666666669</v>
      </c>
      <c r="C6" s="8">
        <v>0</v>
      </c>
      <c r="D6" s="16">
        <v>1282</v>
      </c>
      <c r="E6" s="25">
        <v>0</v>
      </c>
      <c r="F6" s="9">
        <v>50</v>
      </c>
      <c r="G6" s="9">
        <v>25</v>
      </c>
      <c r="H6" s="16">
        <v>25</v>
      </c>
      <c r="I6" s="16">
        <v>15</v>
      </c>
    </row>
    <row r="7" spans="1:10" x14ac:dyDescent="0.3">
      <c r="A7" s="17">
        <v>4415</v>
      </c>
      <c r="B7" s="21">
        <f t="shared" ref="B7:B16" si="0">A7/$I$1</f>
        <v>245.27777777777777</v>
      </c>
      <c r="C7" s="23">
        <v>20</v>
      </c>
      <c r="D7" s="18">
        <v>1159</v>
      </c>
      <c r="E7" s="26">
        <v>10</v>
      </c>
      <c r="F7" s="10">
        <v>50</v>
      </c>
      <c r="G7" s="10">
        <v>15</v>
      </c>
      <c r="H7" s="18">
        <v>25</v>
      </c>
      <c r="I7" s="18">
        <v>14</v>
      </c>
    </row>
    <row r="8" spans="1:10" x14ac:dyDescent="0.3">
      <c r="A8" s="17">
        <v>4053</v>
      </c>
      <c r="B8" s="21">
        <f t="shared" si="0"/>
        <v>225.16666666666666</v>
      </c>
      <c r="C8" s="23">
        <v>41</v>
      </c>
      <c r="D8" s="18">
        <v>1035</v>
      </c>
      <c r="E8" s="26">
        <v>20</v>
      </c>
      <c r="F8" s="10">
        <v>40</v>
      </c>
      <c r="G8" s="10">
        <v>15</v>
      </c>
      <c r="H8" s="18">
        <v>20</v>
      </c>
      <c r="I8" s="18">
        <v>12</v>
      </c>
    </row>
    <row r="9" spans="1:10" x14ac:dyDescent="0.3">
      <c r="A9" s="17">
        <v>3527</v>
      </c>
      <c r="B9" s="21">
        <f t="shared" si="0"/>
        <v>195.94444444444446</v>
      </c>
      <c r="C9" s="23">
        <v>61</v>
      </c>
      <c r="D9" s="18">
        <v>913</v>
      </c>
      <c r="E9" s="26">
        <v>30</v>
      </c>
      <c r="F9" s="10">
        <v>35</v>
      </c>
      <c r="G9" s="10">
        <v>10</v>
      </c>
      <c r="H9" s="18">
        <v>25</v>
      </c>
      <c r="I9" s="18">
        <v>10</v>
      </c>
    </row>
    <row r="10" spans="1:10" x14ac:dyDescent="0.3">
      <c r="A10" s="17">
        <v>3410</v>
      </c>
      <c r="B10" s="21">
        <f t="shared" si="0"/>
        <v>189.44444444444446</v>
      </c>
      <c r="C10" s="23">
        <v>82</v>
      </c>
      <c r="D10" s="18">
        <v>790</v>
      </c>
      <c r="E10" s="26">
        <v>40</v>
      </c>
      <c r="F10" s="10">
        <v>30</v>
      </c>
      <c r="G10" s="10">
        <v>10</v>
      </c>
      <c r="H10" s="18">
        <v>20</v>
      </c>
      <c r="I10" s="18">
        <v>9</v>
      </c>
    </row>
    <row r="11" spans="1:10" x14ac:dyDescent="0.3">
      <c r="A11" s="17">
        <v>3293</v>
      </c>
      <c r="B11" s="21">
        <f t="shared" si="0"/>
        <v>182.94444444444446</v>
      </c>
      <c r="C11" s="23">
        <v>102</v>
      </c>
      <c r="D11" s="18">
        <v>667</v>
      </c>
      <c r="E11" s="26">
        <v>50</v>
      </c>
      <c r="F11" s="10">
        <v>25</v>
      </c>
      <c r="G11" s="10">
        <v>10</v>
      </c>
      <c r="H11" s="18">
        <v>15</v>
      </c>
      <c r="I11" s="18">
        <v>7</v>
      </c>
    </row>
    <row r="12" spans="1:10" x14ac:dyDescent="0.3">
      <c r="A12" s="17">
        <v>3012</v>
      </c>
      <c r="B12" s="21">
        <f t="shared" si="0"/>
        <v>167.33333333333334</v>
      </c>
      <c r="C12" s="23">
        <v>123</v>
      </c>
      <c r="D12" s="18">
        <v>545</v>
      </c>
      <c r="E12" s="26">
        <v>60</v>
      </c>
      <c r="F12" s="10">
        <v>25</v>
      </c>
      <c r="G12" s="10">
        <v>5</v>
      </c>
      <c r="H12" s="18">
        <v>10</v>
      </c>
      <c r="I12" s="18">
        <v>5</v>
      </c>
    </row>
    <row r="13" spans="1:10" x14ac:dyDescent="0.3">
      <c r="A13" s="17">
        <v>2896</v>
      </c>
      <c r="B13" s="21">
        <f t="shared" si="0"/>
        <v>160.88888888888889</v>
      </c>
      <c r="C13" s="23">
        <v>143</v>
      </c>
      <c r="D13" s="18">
        <v>422</v>
      </c>
      <c r="E13" s="26">
        <v>70</v>
      </c>
      <c r="F13" s="10">
        <v>20</v>
      </c>
      <c r="G13" s="10">
        <v>5</v>
      </c>
      <c r="H13" s="18">
        <v>5</v>
      </c>
      <c r="I13" s="18">
        <v>4</v>
      </c>
    </row>
    <row r="14" spans="1:10" x14ac:dyDescent="0.3">
      <c r="A14" s="17">
        <v>2533</v>
      </c>
      <c r="B14" s="21">
        <f t="shared" si="0"/>
        <v>140.72222222222223</v>
      </c>
      <c r="C14" s="23">
        <v>164</v>
      </c>
      <c r="D14" s="18">
        <v>299</v>
      </c>
      <c r="E14" s="26">
        <v>80</v>
      </c>
      <c r="F14" s="10">
        <v>10</v>
      </c>
      <c r="G14" s="10">
        <v>5</v>
      </c>
      <c r="H14" s="18">
        <v>5</v>
      </c>
      <c r="I14" s="18">
        <v>2</v>
      </c>
    </row>
    <row r="15" spans="1:10" x14ac:dyDescent="0.3">
      <c r="A15" s="17">
        <v>2170</v>
      </c>
      <c r="B15" s="21">
        <f t="shared" si="0"/>
        <v>120.55555555555556</v>
      </c>
      <c r="C15" s="23">
        <v>184</v>
      </c>
      <c r="D15" s="18">
        <v>179</v>
      </c>
      <c r="E15" s="26">
        <v>90</v>
      </c>
      <c r="F15" s="10">
        <v>5</v>
      </c>
      <c r="G15" s="10">
        <v>2</v>
      </c>
      <c r="H15" s="18">
        <v>3</v>
      </c>
      <c r="I15" s="18">
        <v>1</v>
      </c>
    </row>
    <row r="16" spans="1:10" ht="15" thickBot="1" x14ac:dyDescent="0.35">
      <c r="A16" s="19">
        <v>1890</v>
      </c>
      <c r="B16" s="22">
        <f t="shared" si="0"/>
        <v>105</v>
      </c>
      <c r="C16" s="11">
        <v>205</v>
      </c>
      <c r="D16" s="12">
        <v>53</v>
      </c>
      <c r="E16" s="27">
        <v>100</v>
      </c>
      <c r="F16" s="14">
        <v>0</v>
      </c>
      <c r="G16" s="14">
        <v>0</v>
      </c>
      <c r="H16" s="12">
        <v>0</v>
      </c>
      <c r="I16" s="12">
        <v>-1</v>
      </c>
    </row>
    <row r="17" spans="1:9" x14ac:dyDescent="0.3">
      <c r="A17" s="6"/>
      <c r="B17" s="6"/>
      <c r="E17" s="6"/>
      <c r="F17" s="6"/>
      <c r="G17" s="6"/>
      <c r="H17" s="6"/>
      <c r="I17" s="6"/>
    </row>
    <row r="18" spans="1:9" x14ac:dyDescent="0.3">
      <c r="F18" s="6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2023-04-12T11:08:35Z</cp:lastPrinted>
  <dcterms:created xsi:type="dcterms:W3CDTF">2022-05-29T17:31:50Z</dcterms:created>
  <dcterms:modified xsi:type="dcterms:W3CDTF">2023-05-29T05:52:44Z</dcterms:modified>
</cp:coreProperties>
</file>